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6975"/>
  </bookViews>
  <sheets>
    <sheet name="Contratos 2018" sheetId="1" r:id="rId1"/>
  </sheets>
  <definedNames>
    <definedName name="_xlnm._FilterDatabase" localSheetId="0" hidden="1">'Contratos 2018'!$A$9:$Q$52</definedName>
    <definedName name="_xlnm.Print_Area" localSheetId="0">'Contratos 2018'!$A$1:$P$51</definedName>
    <definedName name="Print_Area" localSheetId="0">'Contratos 2018'!$A$1:$P$16</definedName>
    <definedName name="_xlnm.Print_Titles" localSheetId="0">'Contratos 2018'!$1:$9</definedName>
  </definedNames>
  <calcPr calcId="144525"/>
</workbook>
</file>

<file path=xl/calcChain.xml><?xml version="1.0" encoding="utf-8"?>
<calcChain xmlns="http://schemas.openxmlformats.org/spreadsheetml/2006/main">
  <c r="M52" i="1" l="1"/>
  <c r="O52" i="1" s="1"/>
  <c r="P52" i="1" s="1"/>
  <c r="M51" i="1"/>
  <c r="O51" i="1" s="1"/>
  <c r="P51" i="1" s="1"/>
  <c r="M50" i="1"/>
  <c r="O50" i="1" s="1"/>
  <c r="P50" i="1" s="1"/>
  <c r="O49" i="1"/>
  <c r="P49" i="1" s="1"/>
  <c r="M48" i="1"/>
  <c r="O48" i="1" s="1"/>
  <c r="P48" i="1" s="1"/>
  <c r="M47" i="1"/>
  <c r="O47" i="1" s="1"/>
  <c r="P47" i="1" s="1"/>
  <c r="M46" i="1"/>
  <c r="O46" i="1" s="1"/>
  <c r="P46" i="1" s="1"/>
  <c r="M45" i="1"/>
  <c r="O45" i="1" s="1"/>
  <c r="P45" i="1" s="1"/>
  <c r="M44" i="1"/>
  <c r="O44" i="1" s="1"/>
  <c r="P44" i="1" s="1"/>
  <c r="M43" i="1"/>
  <c r="O43" i="1" s="1"/>
  <c r="P43" i="1" s="1"/>
  <c r="M42" i="1"/>
  <c r="O42" i="1" s="1"/>
  <c r="P42" i="1" s="1"/>
  <c r="O41" i="1"/>
  <c r="P41" i="1" s="1"/>
  <c r="M40" i="1"/>
  <c r="O40" i="1" s="1"/>
  <c r="P40" i="1" s="1"/>
  <c r="M39" i="1"/>
  <c r="O39" i="1" s="1"/>
  <c r="P39" i="1" s="1"/>
  <c r="M38" i="1"/>
  <c r="O38" i="1" s="1"/>
  <c r="P38" i="1" s="1"/>
  <c r="M37" i="1"/>
  <c r="O37" i="1" s="1"/>
  <c r="P37" i="1" s="1"/>
  <c r="O36" i="1"/>
  <c r="P36" i="1" s="1"/>
  <c r="M35" i="1"/>
  <c r="O35" i="1" s="1"/>
  <c r="P35" i="1" s="1"/>
  <c r="M34" i="1"/>
  <c r="O34" i="1" s="1"/>
  <c r="P34" i="1" s="1"/>
  <c r="M33" i="1"/>
  <c r="O33" i="1" s="1"/>
  <c r="P33" i="1" s="1"/>
  <c r="M32" i="1"/>
  <c r="O32" i="1" s="1"/>
  <c r="P32" i="1" s="1"/>
  <c r="M31" i="1"/>
  <c r="O31" i="1" s="1"/>
  <c r="P31" i="1" s="1"/>
  <c r="M30" i="1"/>
  <c r="O30" i="1" s="1"/>
  <c r="P30" i="1" s="1"/>
  <c r="M29" i="1"/>
  <c r="O29" i="1" s="1"/>
  <c r="P29" i="1" s="1"/>
  <c r="M28" i="1"/>
  <c r="O28" i="1" s="1"/>
  <c r="P28" i="1" s="1"/>
  <c r="O27" i="1"/>
  <c r="P27" i="1" s="1"/>
  <c r="M26" i="1"/>
  <c r="O26" i="1" s="1"/>
  <c r="P26" i="1" s="1"/>
  <c r="M25" i="1"/>
  <c r="O25" i="1" s="1"/>
  <c r="P25" i="1" s="1"/>
  <c r="M24" i="1"/>
  <c r="O24" i="1" s="1"/>
  <c r="P24" i="1" s="1"/>
  <c r="M23" i="1"/>
  <c r="O23" i="1" s="1"/>
  <c r="P23" i="1" s="1"/>
  <c r="M22" i="1"/>
  <c r="O22" i="1" s="1"/>
  <c r="P22" i="1" s="1"/>
  <c r="M21" i="1"/>
  <c r="O21" i="1" s="1"/>
  <c r="P21" i="1" s="1"/>
  <c r="M20" i="1"/>
  <c r="O20" i="1" s="1"/>
  <c r="P20" i="1" s="1"/>
  <c r="M19" i="1"/>
  <c r="P19" i="1" s="1"/>
  <c r="M18" i="1"/>
  <c r="O18" i="1" s="1"/>
  <c r="P18" i="1" s="1"/>
  <c r="M17" i="1"/>
  <c r="P17" i="1" s="1"/>
  <c r="M16" i="1"/>
  <c r="O16" i="1" s="1"/>
  <c r="P16" i="1" s="1"/>
  <c r="O15" i="1"/>
  <c r="P15" i="1" s="1"/>
  <c r="P14" i="1"/>
  <c r="M14" i="1"/>
  <c r="O14" i="1" s="1"/>
  <c r="M13" i="1"/>
  <c r="O13" i="1" s="1"/>
  <c r="P13" i="1" s="1"/>
  <c r="M12" i="1"/>
  <c r="O12" i="1" s="1"/>
  <c r="P12" i="1" s="1"/>
  <c r="M11" i="1"/>
  <c r="O11" i="1" s="1"/>
  <c r="P11" i="1" s="1"/>
  <c r="O10" i="1"/>
  <c r="O17" i="1" l="1"/>
  <c r="O19" i="1"/>
</calcChain>
</file>

<file path=xl/comments1.xml><?xml version="1.0" encoding="utf-8"?>
<comments xmlns="http://schemas.openxmlformats.org/spreadsheetml/2006/main">
  <authors>
    <author>Carmen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contrato abierto, plurianual</t>
        </r>
      </text>
    </comment>
  </commentList>
</comments>
</file>

<file path=xl/sharedStrings.xml><?xml version="1.0" encoding="utf-8"?>
<sst xmlns="http://schemas.openxmlformats.org/spreadsheetml/2006/main" count="441" uniqueCount="208">
  <si>
    <t>CENTRO DE INVESTIGACIONES EN ÓPTICA, A.C.</t>
  </si>
  <si>
    <t>DIRECCIÓN ADMINISTRATIVA</t>
  </si>
  <si>
    <t>Departamento de Servicios Generales</t>
  </si>
  <si>
    <t>CONTRATOS DE ADQUISICIONES, ARRENDAMIENTOS, SERVICIOS Y OBRAS PÚBLICAS</t>
  </si>
  <si>
    <t>Responsable de la información: L.C.I. Carmen Elvira Ibarra Cordero (Responsable de Adquisiciones)</t>
  </si>
  <si>
    <t>Expediente electrónico: 6C.6-001-18 CONTRATOS</t>
  </si>
  <si>
    <t>Contrato</t>
  </si>
  <si>
    <t>No. de concurso o licitación</t>
  </si>
  <si>
    <t>Proveedor Contratado</t>
  </si>
  <si>
    <t>Estratificación de la empresa</t>
  </si>
  <si>
    <t>Bienes Adquiridos o Servicios Contratados</t>
  </si>
  <si>
    <t>Observaciones</t>
  </si>
  <si>
    <t>Fechas</t>
  </si>
  <si>
    <t>Unidad Administrativa que celebra el contrato</t>
  </si>
  <si>
    <t>Tipo de contrato</t>
  </si>
  <si>
    <t>Procedimiento de Compra y fundamento legal</t>
  </si>
  <si>
    <t>Importe sin I.V.A.</t>
  </si>
  <si>
    <t>Moneda</t>
  </si>
  <si>
    <t>Importe sin I.V.A. en pesos</t>
  </si>
  <si>
    <t>Importe con IVA en pesos</t>
  </si>
  <si>
    <t>Formalización</t>
  </si>
  <si>
    <t xml:space="preserve">Inicio </t>
  </si>
  <si>
    <t>Término</t>
  </si>
  <si>
    <t>CIO-RH-2018-001</t>
  </si>
  <si>
    <t>IA-03890S999-E2-2018</t>
  </si>
  <si>
    <t>Suven, S.A. de C.V.</t>
  </si>
  <si>
    <t>Grande</t>
  </si>
  <si>
    <t>Sericio de Expedición de vales de despensa mensuales para el 2018</t>
  </si>
  <si>
    <t>Recursos fiscales, partidas presupuestales 15401 y 15901.</t>
  </si>
  <si>
    <t>Dirección de Administración</t>
  </si>
  <si>
    <t>Anual</t>
  </si>
  <si>
    <t>Artículo 26, fracción II</t>
  </si>
  <si>
    <t>Pesos</t>
  </si>
  <si>
    <t>No aplica IVA</t>
  </si>
  <si>
    <t>No aplica</t>
  </si>
  <si>
    <t>CIO-SG-2018-001</t>
  </si>
  <si>
    <t>Villalobos Ojeda Josefina Cynthia</t>
  </si>
  <si>
    <t>No mipyme</t>
  </si>
  <si>
    <t>Servicios especializados en oftalmología</t>
  </si>
  <si>
    <t>Recibo de honorarios, el monrto expresado no contempla aun la deduccion del ISR nio del impuesto cedular, no le aplica IVA. Partida 33901.  Recursos fiscales.</t>
  </si>
  <si>
    <t>Cerrado</t>
  </si>
  <si>
    <t>Artículo 42</t>
  </si>
  <si>
    <t>CIO-SG-2018-002</t>
  </si>
  <si>
    <t>Hernández Vargas José Alberto</t>
  </si>
  <si>
    <t>CIO-SG-2018-003</t>
  </si>
  <si>
    <t>LA-03890S999-E1-2018</t>
  </si>
  <si>
    <t>Viadamia, S. de R.L. de C.V.</t>
  </si>
  <si>
    <t>Pequeña</t>
  </si>
  <si>
    <t>Servicio de expedición de pasasjes aéreos nacionales e internacionales.</t>
  </si>
  <si>
    <t>Contratación consolidada con CIMAT y CIATEC. Recursos Fiscales. Partidas 37101, 37104 y 37106. Contrato abierto: monto mínimo $ 440,000.00, máximo $ 1,100,000.00 pesos</t>
  </si>
  <si>
    <t>Artículo 26, fracción I</t>
  </si>
  <si>
    <t>CIO-SG-2018-003 A</t>
  </si>
  <si>
    <t>Jiro y Asociados Agente de Seguros y Fianzas, S.A. de C.V.</t>
  </si>
  <si>
    <t>Servicio de asesoría en materia de seguros y fianzas</t>
  </si>
  <si>
    <t>Recursos Fiscales, partida presupuestal 33901</t>
  </si>
  <si>
    <t>CIO-SG-2018-004</t>
  </si>
  <si>
    <t>Banda Trejo Jesús</t>
  </si>
  <si>
    <t>Mantenimiento preventivo y correctivo a equipo de fotocopiado</t>
  </si>
  <si>
    <t>Recursos fiscales, partida 35201.</t>
  </si>
  <si>
    <t>CIO-SG-2018-005</t>
  </si>
  <si>
    <t>Estrategias en Tecnología Corporativa, S.A. de C.V.</t>
  </si>
  <si>
    <t>Mediana</t>
  </si>
  <si>
    <t>Servicio de Mantenimiento al conmutador</t>
  </si>
  <si>
    <t>CIO-SG-2018-006</t>
  </si>
  <si>
    <t xml:space="preserve">LA-03890G999-E1-2018 </t>
  </si>
  <si>
    <t>Gastelum IX, S.A. de C.V.</t>
  </si>
  <si>
    <t>Adquisición de suministros de oficina</t>
  </si>
  <si>
    <t>LPN Consolidada CIATEC-CIO-CIMAT.  Partida presupuestal 21101. Contrato abierto, minimo $ 116,00.00, máximo $ 290,000.00</t>
  </si>
  <si>
    <t>CIO-SG-2018-007</t>
  </si>
  <si>
    <t>Sumipac Distribución, S.A. de C.V.</t>
  </si>
  <si>
    <t>Adquisición de suministros de impresión</t>
  </si>
  <si>
    <t>LPN Consolidada CIATEC-CIO-CIMAT.  Partida presupuestal 21201 y 21401. Contrato abierto, minimo $ 188,000.00 pesos y máximo $ 470,000.00 pesos</t>
  </si>
  <si>
    <t>CIO-SG-2018-008</t>
  </si>
  <si>
    <t>Prolimpieza, S.A. de C.V.</t>
  </si>
  <si>
    <t>Adquisición de suministros de limpieza</t>
  </si>
  <si>
    <t>LPN Consolidada CIATEC-CIO-CIMAT.  Partida presupuestal 21601. Contrato abierto, minimo $ 69,000.00 pesos y máximo $ 172,500.00 pesos</t>
  </si>
  <si>
    <t>CIO-SG-2018-009</t>
  </si>
  <si>
    <t>Balandrano, Ink, S.A. de C.V.</t>
  </si>
  <si>
    <t>Micro</t>
  </si>
  <si>
    <t>Adquisición de suministros de cafetería</t>
  </si>
  <si>
    <t>LPN Consolidada CIATEC-CIO-CIMAT.  Partida presupuestal 22104. Contrato abierto, minimo $ 76,800.00 pesos y máximo $ 192,000.00 pesos</t>
  </si>
  <si>
    <t>CIO-SG-2018-010</t>
  </si>
  <si>
    <t>Pascuala Bertha López Muñoz</t>
  </si>
  <si>
    <t>Servicio de fumigación a las instalaciones  del CIO León.</t>
  </si>
  <si>
    <t>Recursos fiscales</t>
  </si>
  <si>
    <t>CIO-SG-2018-011</t>
  </si>
  <si>
    <t>Fegsa Instalaciones, S.A. de C.V.</t>
  </si>
  <si>
    <t xml:space="preserve">Servicio especializado de mantenimiento preventivo y correctivo a 161 equipos de aire acondicionado. </t>
  </si>
  <si>
    <t>Recursos fiscales. Partida presupuestal 35201</t>
  </si>
  <si>
    <t>CIO-SG-2018-012</t>
  </si>
  <si>
    <t>Innovación y Competitividad, S.A. De C.V.</t>
  </si>
  <si>
    <t>Elaboración de mapa de oportunidades estratégicas para el desarrollo del consorcio de óptica aplicada</t>
  </si>
  <si>
    <t>Recursos propios. Partida presupuestal 33901</t>
  </si>
  <si>
    <t>CIO-SG-2018-013</t>
  </si>
  <si>
    <t>LA-03890S999-E3-2018</t>
  </si>
  <si>
    <t>Grupo Nacional Provincial S.A.B.</t>
  </si>
  <si>
    <t>Póliza múltiple empresarial</t>
  </si>
  <si>
    <t>Recursos fiscales. Partida presupuestal 34501</t>
  </si>
  <si>
    <t>Dólares</t>
  </si>
  <si>
    <t>CIO-SG-2018-014</t>
  </si>
  <si>
    <t>Poliza de seguro de vehiculos</t>
  </si>
  <si>
    <t>CIO-SG-2018-015</t>
  </si>
  <si>
    <t>Poliza de transporte de mercancías</t>
  </si>
  <si>
    <t>CIO-SG-2018-016</t>
  </si>
  <si>
    <t>Seguros de Vida Sura Mexico, S.A. de C.V.</t>
  </si>
  <si>
    <t>Poliza de vida</t>
  </si>
  <si>
    <t>Recursos fiscales. Partida presupuestal 14403</t>
  </si>
  <si>
    <t>CIO-SG-2018-017</t>
  </si>
  <si>
    <t>Plan Seguro, S.A. de C.V.</t>
  </si>
  <si>
    <t>Poliza de gastos médicos mayores</t>
  </si>
  <si>
    <t>CIO-SG-2018-018</t>
  </si>
  <si>
    <t>Johnson Controls Be Operations Mexico, S. de R.L. de C.V.</t>
  </si>
  <si>
    <t>Poliza de mantenimiento para chiller marca York, modelo YLAA0080SE28 SERIE 2BVM003005, ubicado en el edificio G del CIO.</t>
  </si>
  <si>
    <t>Recursos fiscales. Partida presupuestal 35201. 6 pagos bimestrales.</t>
  </si>
  <si>
    <t>CIO-SG-2018-019</t>
  </si>
  <si>
    <t>Cuevas Cruz Jorge</t>
  </si>
  <si>
    <t xml:space="preserve">Servicio de mantenimiento a transformadores. </t>
  </si>
  <si>
    <t>Recursos fiscales. Partida presupuestal 35701.  6  servicios en el periodo.  No se pago la totalidad del contrato porque un transformador se dio de baja.</t>
  </si>
  <si>
    <t>CIO-SG-2018-020</t>
  </si>
  <si>
    <t>Aguirre Ramírez Patricia</t>
  </si>
  <si>
    <t>Servicio de mantenimiento preventivo a plantas eléctricas</t>
  </si>
  <si>
    <t>Recursos fiscales. Partida presupuestal 35701</t>
  </si>
  <si>
    <t>CIO-SG-2018-021</t>
  </si>
  <si>
    <t>Asesoría Logística Proyectos y Equipo, S.A. de C.V.</t>
  </si>
  <si>
    <t>Servicio de mantenimiento a UPS del CIO León y CIO Aguascalientes</t>
  </si>
  <si>
    <t>CIO-SG-2018-022</t>
  </si>
  <si>
    <t>Intercovamex, S.A. de C.V.</t>
  </si>
  <si>
    <t>Adquisición de refacciones para equipo de laboratorio (bomba y compresor)</t>
  </si>
  <si>
    <t>Recursos propios. Partida presupuestal 29501.</t>
  </si>
  <si>
    <t>Artículo 41, fracción XVII.</t>
  </si>
  <si>
    <t>CIO-SG-2018-023</t>
  </si>
  <si>
    <t>Venzemax, S.A. de C.V.</t>
  </si>
  <si>
    <t>Servicio de alimentos para el aniversario 38 del CIO</t>
  </si>
  <si>
    <t>Recursos fiscales. Partida presupuestal 22104</t>
  </si>
  <si>
    <t>CIO-SG-2018-024</t>
  </si>
  <si>
    <t>Banquetes Le Bugarini, S.A. de C.V.</t>
  </si>
  <si>
    <t>Servicio de alimentación. Pedido SG180406. Congreso Mujer en la Ciencia.</t>
  </si>
  <si>
    <t>Recursos propios. Partida presupuestal 38301</t>
  </si>
  <si>
    <t>CIO-SG-2018-024 A</t>
  </si>
  <si>
    <t>Hugo Alejandro Quintanilla Gutierrez</t>
  </si>
  <si>
    <t>Prestación del servicio de apoyo tecnico en la elaboracion de plan de investigacion y desarrollo, estandarización de los procesos de enlace con Conacyt y desarrollo de las bases de un documento para conformar un plan de vinculación con instituciones y los secotres social, productivo,académico y gobierno</t>
  </si>
  <si>
    <t>CIO-SG-2018-024-B</t>
  </si>
  <si>
    <t>Alfonso Luna Olaez</t>
  </si>
  <si>
    <t>Servicio de mantenimiento preventivo de equipos de aire acondicionado.</t>
  </si>
  <si>
    <t>Recursos propios. Partida presupuestal 35201.  Se harán 4 pagos trimestrales.</t>
  </si>
  <si>
    <t>CIO-SG-2018-025</t>
  </si>
  <si>
    <t>Jesús Ignacio Adame Velázquez</t>
  </si>
  <si>
    <t>Servicio de desarrollo museográfico Ilumina</t>
  </si>
  <si>
    <t>Recursos fiscales.  Partida 33901.</t>
  </si>
  <si>
    <t>CIO-SG-2018-026</t>
  </si>
  <si>
    <t>Renishaw México, S. de R.L. de C.V.</t>
  </si>
  <si>
    <t>Servicio de mantenimiento de Microscopio RAMAN</t>
  </si>
  <si>
    <t>Recursos propios. Partida presupuestal 35401</t>
  </si>
  <si>
    <t>08/05/218</t>
  </si>
  <si>
    <t>Artículo 41, fracción VIII.</t>
  </si>
  <si>
    <t>CIO-SG-2018-027</t>
  </si>
  <si>
    <t>Adquisición de productos químicos. Pedido SG180599</t>
  </si>
  <si>
    <t>Recursos fiscales.  Partida presupuestal 25101.</t>
  </si>
  <si>
    <t>Duplique el registro en compranet, exp. 1681534, cont. 1795447</t>
  </si>
  <si>
    <t>I0000/204/2018</t>
  </si>
  <si>
    <t>LA-03890X001-E77-2017</t>
  </si>
  <si>
    <t>Novandi Cloud Services, S.A. de C.V.</t>
  </si>
  <si>
    <t>Licenciamiento de microsoft. Contrato plurianual 60 meses.</t>
  </si>
  <si>
    <t>Partida presupuestal 32701. Licitó CONACYT, plurianual consololidada. El monto reflejado es por la totalidad del contrato, el costo anual es de $268,078.73 pesos mas IVA.</t>
  </si>
  <si>
    <t>Plurianua</t>
  </si>
  <si>
    <t>CIO-SG-2018-028</t>
  </si>
  <si>
    <t>Electroservicios Medher, S.A. de C.V.</t>
  </si>
  <si>
    <t>Servicio de instalación eléctrica</t>
  </si>
  <si>
    <t>Recursos fiscales.  Partida presupuestal 35101.</t>
  </si>
  <si>
    <t>CIO-SG-2018-029</t>
  </si>
  <si>
    <t>Praxair México, S. de R.L. de C.V.</t>
  </si>
  <si>
    <t>Adquisición de 13 recargas de nitrógeno 99.999%, cilindro tipo T.</t>
  </si>
  <si>
    <t>Recursos fiscales, partida presupuestal 25101</t>
  </si>
  <si>
    <t>CIO-SG-2018-030</t>
  </si>
  <si>
    <t>Adquisición de un microscopio trinocular</t>
  </si>
  <si>
    <t>Recursos fiscales, cartera de inversion 133890S0006, partida presupuestal 53101</t>
  </si>
  <si>
    <t>Artículo 41, fracción XVII</t>
  </si>
  <si>
    <t>CIO-SG-2018-031</t>
  </si>
  <si>
    <t>Comercializadora Kmox, S.A. de C.V.</t>
  </si>
  <si>
    <t>Adquisición de un analizador de semiconductores</t>
  </si>
  <si>
    <t>Recursos fiscales, cartera de inversion 133890S0006, partida presupuestal 53101.</t>
  </si>
  <si>
    <t>CIO-SG-2018-032</t>
  </si>
  <si>
    <t>Gicmac Industrial, S.A. De c.v.</t>
  </si>
  <si>
    <t>Adquisición de un analiador de camaras UV y un bake plate.</t>
  </si>
  <si>
    <t>03/07/2018 y 17/08/2018</t>
  </si>
  <si>
    <t>CIO-SG-2018-033</t>
  </si>
  <si>
    <t>Jeol de México, S.A. de C.V.</t>
  </si>
  <si>
    <t>Contratación de la poliza de mantenimiento anual 2018, para un microscopio electrónico de barrido.</t>
  </si>
  <si>
    <t>Recursos fiscales, partida presupuestal 35401.</t>
  </si>
  <si>
    <t>Artículo 41, fracción I</t>
  </si>
  <si>
    <t>CIO-SG-2018-034</t>
  </si>
  <si>
    <t>Lab Tech Instrumentación, S.A. de C.V.</t>
  </si>
  <si>
    <t>Adquisición de dos hornos y un sistema de purificación.</t>
  </si>
  <si>
    <t>Tecursos fiscales, cartera de inversion 133890S0006, partida presupuestal 53101</t>
  </si>
  <si>
    <t>CONTRATO 46/18</t>
  </si>
  <si>
    <t>Prieto Ruiz de Velazco y Compañía, S.C.</t>
  </si>
  <si>
    <t>Auditoría de los Estados Financieros del CIO del ejercicio fiscal 2018.</t>
  </si>
  <si>
    <t>Recursos fiscales, partida presupuestal 33104. Contrato abierto, monto mínimo $ 103,371.60 y monto máximo $ 258,429.00 pesos mas IVA.</t>
  </si>
  <si>
    <t>Elevadores Schindler , S.A. de C.V.</t>
  </si>
  <si>
    <t>Servicio de Mantenimiento a Elevador del CIO con número 440000015133 ubicado en el Edificio G.</t>
  </si>
  <si>
    <t>Recursos fiscales.  Partida presupuestal 35701.  10 servicios al año.</t>
  </si>
  <si>
    <t>Artículo 41, fracción VIII</t>
  </si>
  <si>
    <t>Servicio de Mantenimiento a Elevador del CIO con número 10844469 ubicado en el edificio D.</t>
  </si>
  <si>
    <t>CIO-SG-2018-035</t>
  </si>
  <si>
    <t>LA-03890S999E34-2018</t>
  </si>
  <si>
    <t>Turismo y Convenciones, S.A. De C.V.</t>
  </si>
  <si>
    <t>Servicios Integrales para la realización del congreso ISOT 2018</t>
  </si>
  <si>
    <t>Recursos propios, partida presupuestal 33903.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</si>
</sst>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5"/>
      <color theme="1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b/>
      <sz val="18"/>
      <color theme="4"/>
      <name val="Arial"/>
      <family val="2"/>
    </font>
    <font>
      <b/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/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justify" wrapText="1"/>
    </xf>
    <xf numFmtId="44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4" fontId="2" fillId="0" borderId="1" xfId="3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4" fontId="2" fillId="0" borderId="0" xfId="2" applyNumberFormat="1" applyFont="1" applyFill="1"/>
    <xf numFmtId="0" fontId="2" fillId="0" borderId="0" xfId="0" applyFont="1" applyFill="1" applyAlignment="1">
      <alignment horizontal="center"/>
    </xf>
    <xf numFmtId="43" fontId="2" fillId="0" borderId="0" xfId="1" applyFont="1" applyFill="1"/>
    <xf numFmtId="44" fontId="2" fillId="0" borderId="0" xfId="2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889000</xdr:colOff>
      <xdr:row>0</xdr:row>
      <xdr:rowOff>58352</xdr:rowOff>
    </xdr:from>
    <xdr:to>
      <xdr:col>1</xdr:col>
      <xdr:colOff>646296</xdr:colOff>
      <xdr:row>4</xdr:row>
      <xdr:rowOff>1118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58352"/>
          <a:ext cx="1805171" cy="971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0"/>
  <sheetViews>
    <sheetView tabSelected="1" zoomScale="50" zoomScaleNormal="50" workbookViewId="0">
      <pane xSplit="6" ySplit="9" topLeftCell="G10" activePane="bottomRight" state="frozen"/>
      <selection activeCell="D42" sqref="D42"/>
      <selection pane="topRight" activeCell="D42" sqref="D42"/>
      <selection pane="bottomLeft" activeCell="D42" sqref="D42"/>
      <selection pane="bottomRight" activeCell="B10" sqref="B10"/>
    </sheetView>
  </sheetViews>
  <sheetFormatPr baseColWidth="10" defaultRowHeight="20.25" x14ac:dyDescent="0.3"/>
  <cols>
    <col min="1" max="1" width="30.7109375" style="2" customWidth="1"/>
    <col min="2" max="2" width="32.42578125" style="2" customWidth="1"/>
    <col min="3" max="3" width="32.85546875" style="15" customWidth="1"/>
    <col min="4" max="4" width="24" style="15" customWidth="1"/>
    <col min="5" max="5" width="48.28515625" style="24" customWidth="1"/>
    <col min="6" max="6" width="48.28515625" style="2" customWidth="1"/>
    <col min="7" max="9" width="18.140625" style="2" customWidth="1"/>
    <col min="10" max="10" width="26.85546875" style="2" customWidth="1"/>
    <col min="11" max="11" width="16.28515625" style="2" customWidth="1"/>
    <col min="12" max="12" width="22.7109375" style="2" customWidth="1"/>
    <col min="13" max="13" width="25.140625" style="28" customWidth="1"/>
    <col min="14" max="14" width="14.7109375" style="26" customWidth="1"/>
    <col min="15" max="15" width="25.140625" style="26" customWidth="1"/>
    <col min="16" max="16" width="23.28515625" style="26" customWidth="1"/>
    <col min="17" max="17" width="26.28515625" style="2" customWidth="1"/>
    <col min="18" max="16384" width="11.42578125" style="2"/>
  </cols>
  <sheetData>
    <row r="1" spans="1:1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3">
      <c r="A5" s="5"/>
      <c r="B5" s="5"/>
      <c r="C5" s="5"/>
      <c r="D5" s="5"/>
      <c r="E5" s="5"/>
      <c r="F5" s="5"/>
      <c r="G5" s="5"/>
      <c r="H5" s="6" t="s">
        <v>4</v>
      </c>
      <c r="I5" s="5"/>
      <c r="J5" s="5"/>
      <c r="K5" s="5"/>
      <c r="L5" s="5"/>
      <c r="M5" s="5"/>
      <c r="N5" s="5"/>
      <c r="O5" s="5"/>
      <c r="P5" s="5"/>
    </row>
    <row r="6" spans="1:16" x14ac:dyDescent="0.3">
      <c r="B6" s="5"/>
      <c r="C6" s="5"/>
      <c r="D6" s="5"/>
      <c r="E6" s="5"/>
      <c r="F6" s="5"/>
      <c r="G6" s="5"/>
      <c r="H6" s="6" t="s">
        <v>5</v>
      </c>
      <c r="I6" s="5"/>
      <c r="J6" s="5"/>
      <c r="K6" s="5"/>
      <c r="L6" s="5"/>
      <c r="M6" s="5"/>
      <c r="N6" s="5"/>
      <c r="O6" s="5"/>
      <c r="P6" s="5"/>
    </row>
    <row r="7" spans="1:16" ht="40.5" customHeight="1" x14ac:dyDescent="0.3">
      <c r="A7" s="29"/>
      <c r="B7" s="30"/>
      <c r="C7" s="9"/>
      <c r="D7" s="9"/>
      <c r="E7" s="2"/>
      <c r="M7" s="2"/>
      <c r="N7" s="2"/>
      <c r="O7" s="2"/>
      <c r="P7" s="2"/>
    </row>
    <row r="8" spans="1:16" ht="20.25" customHeight="1" x14ac:dyDescent="0.3">
      <c r="A8" s="10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0"/>
      <c r="I8" s="10"/>
      <c r="J8" s="12" t="s">
        <v>13</v>
      </c>
      <c r="K8" s="12" t="s">
        <v>14</v>
      </c>
      <c r="L8" s="10" t="s">
        <v>15</v>
      </c>
      <c r="M8" s="13" t="s">
        <v>16</v>
      </c>
      <c r="N8" s="14" t="s">
        <v>17</v>
      </c>
      <c r="O8" s="13" t="s">
        <v>18</v>
      </c>
      <c r="P8" s="13" t="s">
        <v>19</v>
      </c>
    </row>
    <row r="9" spans="1:16" s="15" customFormat="1" ht="40.5" x14ac:dyDescent="0.3">
      <c r="A9" s="10"/>
      <c r="B9" s="10"/>
      <c r="C9" s="10"/>
      <c r="D9" s="10"/>
      <c r="E9" s="10"/>
      <c r="F9" s="10"/>
      <c r="G9" s="11" t="s">
        <v>20</v>
      </c>
      <c r="H9" s="11" t="s">
        <v>21</v>
      </c>
      <c r="I9" s="11" t="s">
        <v>22</v>
      </c>
      <c r="J9" s="12"/>
      <c r="K9" s="12"/>
      <c r="L9" s="10"/>
      <c r="M9" s="13"/>
      <c r="N9" s="14"/>
      <c r="O9" s="13"/>
      <c r="P9" s="13"/>
    </row>
    <row r="10" spans="1:16" s="7" customFormat="1" ht="60.75" x14ac:dyDescent="0.2">
      <c r="A10" s="16" t="s">
        <v>23</v>
      </c>
      <c r="B10" s="16" t="s">
        <v>24</v>
      </c>
      <c r="C10" s="17" t="s">
        <v>25</v>
      </c>
      <c r="D10" s="18" t="s">
        <v>26</v>
      </c>
      <c r="E10" s="16" t="s">
        <v>27</v>
      </c>
      <c r="F10" s="16" t="s">
        <v>28</v>
      </c>
      <c r="G10" s="19">
        <v>43122</v>
      </c>
      <c r="H10" s="19">
        <v>43122</v>
      </c>
      <c r="I10" s="19">
        <v>43465</v>
      </c>
      <c r="J10" s="16" t="s">
        <v>29</v>
      </c>
      <c r="K10" s="16" t="s">
        <v>30</v>
      </c>
      <c r="L10" s="16" t="s">
        <v>31</v>
      </c>
      <c r="M10" s="20">
        <v>2533080.06</v>
      </c>
      <c r="N10" s="16" t="s">
        <v>32</v>
      </c>
      <c r="O10" s="21">
        <f t="shared" ref="O10:O23" si="0">+M10</f>
        <v>2533080.06</v>
      </c>
      <c r="P10" s="22" t="s">
        <v>33</v>
      </c>
    </row>
    <row r="11" spans="1:16" s="7" customFormat="1" ht="121.5" x14ac:dyDescent="0.2">
      <c r="A11" s="16" t="s">
        <v>35</v>
      </c>
      <c r="B11" s="16" t="s">
        <v>34</v>
      </c>
      <c r="C11" s="17" t="s">
        <v>36</v>
      </c>
      <c r="D11" s="18" t="s">
        <v>37</v>
      </c>
      <c r="E11" s="16" t="s">
        <v>38</v>
      </c>
      <c r="F11" s="16" t="s">
        <v>39</v>
      </c>
      <c r="G11" s="19">
        <v>43115</v>
      </c>
      <c r="H11" s="19">
        <v>43101</v>
      </c>
      <c r="I11" s="19">
        <v>43190</v>
      </c>
      <c r="J11" s="16" t="s">
        <v>29</v>
      </c>
      <c r="K11" s="16" t="s">
        <v>40</v>
      </c>
      <c r="L11" s="16" t="s">
        <v>41</v>
      </c>
      <c r="M11" s="20">
        <f>16853.93*3</f>
        <v>50561.79</v>
      </c>
      <c r="N11" s="16" t="s">
        <v>32</v>
      </c>
      <c r="O11" s="21">
        <f t="shared" si="0"/>
        <v>50561.79</v>
      </c>
      <c r="P11" s="21">
        <f>+O11*1.16</f>
        <v>58651.676399999997</v>
      </c>
    </row>
    <row r="12" spans="1:16" s="7" customFormat="1" ht="121.5" x14ac:dyDescent="0.2">
      <c r="A12" s="16" t="s">
        <v>42</v>
      </c>
      <c r="B12" s="16" t="s">
        <v>34</v>
      </c>
      <c r="C12" s="17" t="s">
        <v>43</v>
      </c>
      <c r="D12" s="18" t="s">
        <v>37</v>
      </c>
      <c r="E12" s="16" t="s">
        <v>38</v>
      </c>
      <c r="F12" s="16" t="s">
        <v>39</v>
      </c>
      <c r="G12" s="19">
        <v>43115</v>
      </c>
      <c r="H12" s="19">
        <v>43101</v>
      </c>
      <c r="I12" s="19">
        <v>43190</v>
      </c>
      <c r="J12" s="16" t="s">
        <v>29</v>
      </c>
      <c r="K12" s="16" t="s">
        <v>40</v>
      </c>
      <c r="L12" s="16" t="s">
        <v>41</v>
      </c>
      <c r="M12" s="20">
        <f>11235.96*3</f>
        <v>33707.879999999997</v>
      </c>
      <c r="N12" s="16" t="s">
        <v>32</v>
      </c>
      <c r="O12" s="21">
        <f t="shared" si="0"/>
        <v>33707.879999999997</v>
      </c>
      <c r="P12" s="21">
        <f>+O12*1.16</f>
        <v>39101.140799999994</v>
      </c>
    </row>
    <row r="13" spans="1:16" s="7" customFormat="1" ht="121.5" x14ac:dyDescent="0.2">
      <c r="A13" s="16" t="s">
        <v>44</v>
      </c>
      <c r="B13" s="16" t="s">
        <v>45</v>
      </c>
      <c r="C13" s="17" t="s">
        <v>46</v>
      </c>
      <c r="D13" s="18" t="s">
        <v>47</v>
      </c>
      <c r="E13" s="16" t="s">
        <v>48</v>
      </c>
      <c r="F13" s="16" t="s">
        <v>49</v>
      </c>
      <c r="G13" s="19">
        <v>43130</v>
      </c>
      <c r="H13" s="19">
        <v>43132</v>
      </c>
      <c r="I13" s="19">
        <v>43465</v>
      </c>
      <c r="J13" s="16" t="s">
        <v>29</v>
      </c>
      <c r="K13" s="16" t="s">
        <v>30</v>
      </c>
      <c r="L13" s="16" t="s">
        <v>50</v>
      </c>
      <c r="M13" s="20">
        <f>1100000/1.16</f>
        <v>948275.86206896557</v>
      </c>
      <c r="N13" s="16" t="s">
        <v>32</v>
      </c>
      <c r="O13" s="21">
        <f t="shared" si="0"/>
        <v>948275.86206896557</v>
      </c>
      <c r="P13" s="22">
        <f>+O13*1.16</f>
        <v>1100000</v>
      </c>
    </row>
    <row r="14" spans="1:16" s="7" customFormat="1" ht="116.25" x14ac:dyDescent="0.2">
      <c r="A14" s="16" t="s">
        <v>51</v>
      </c>
      <c r="B14" s="16" t="s">
        <v>34</v>
      </c>
      <c r="C14" s="17" t="s">
        <v>52</v>
      </c>
      <c r="D14" s="18" t="s">
        <v>47</v>
      </c>
      <c r="E14" s="16" t="s">
        <v>53</v>
      </c>
      <c r="F14" s="16" t="s">
        <v>54</v>
      </c>
      <c r="G14" s="19">
        <v>43132</v>
      </c>
      <c r="H14" s="19">
        <v>43132</v>
      </c>
      <c r="I14" s="19">
        <v>43465</v>
      </c>
      <c r="J14" s="16" t="s">
        <v>29</v>
      </c>
      <c r="K14" s="16" t="s">
        <v>30</v>
      </c>
      <c r="L14" s="16" t="s">
        <v>41</v>
      </c>
      <c r="M14" s="20">
        <f>6500*11</f>
        <v>71500</v>
      </c>
      <c r="N14" s="16" t="s">
        <v>32</v>
      </c>
      <c r="O14" s="21">
        <f t="shared" si="0"/>
        <v>71500</v>
      </c>
      <c r="P14" s="22">
        <f>(6500*1.16)*11</f>
        <v>82939.999999999985</v>
      </c>
    </row>
    <row r="15" spans="1:16" s="7" customFormat="1" ht="60.75" x14ac:dyDescent="0.2">
      <c r="A15" s="16" t="s">
        <v>55</v>
      </c>
      <c r="B15" s="16" t="s">
        <v>34</v>
      </c>
      <c r="C15" s="17" t="s">
        <v>56</v>
      </c>
      <c r="D15" s="18" t="s">
        <v>37</v>
      </c>
      <c r="E15" s="16" t="s">
        <v>57</v>
      </c>
      <c r="F15" s="16" t="s">
        <v>58</v>
      </c>
      <c r="G15" s="19">
        <v>43132</v>
      </c>
      <c r="H15" s="19">
        <v>43132</v>
      </c>
      <c r="I15" s="19">
        <v>43454</v>
      </c>
      <c r="J15" s="16" t="s">
        <v>29</v>
      </c>
      <c r="K15" s="16" t="s">
        <v>30</v>
      </c>
      <c r="L15" s="16" t="s">
        <v>41</v>
      </c>
      <c r="M15" s="20">
        <v>30250</v>
      </c>
      <c r="N15" s="16" t="s">
        <v>32</v>
      </c>
      <c r="O15" s="21">
        <f t="shared" si="0"/>
        <v>30250</v>
      </c>
      <c r="P15" s="22">
        <f>+O15*1.16</f>
        <v>35090</v>
      </c>
    </row>
    <row r="16" spans="1:16" s="7" customFormat="1" ht="93" x14ac:dyDescent="0.2">
      <c r="A16" s="16" t="s">
        <v>59</v>
      </c>
      <c r="B16" s="16" t="s">
        <v>34</v>
      </c>
      <c r="C16" s="17" t="s">
        <v>60</v>
      </c>
      <c r="D16" s="18" t="s">
        <v>61</v>
      </c>
      <c r="E16" s="16" t="s">
        <v>62</v>
      </c>
      <c r="F16" s="16" t="s">
        <v>58</v>
      </c>
      <c r="G16" s="19">
        <v>43132</v>
      </c>
      <c r="H16" s="19">
        <v>43132</v>
      </c>
      <c r="I16" s="19">
        <v>43465</v>
      </c>
      <c r="J16" s="16" t="s">
        <v>29</v>
      </c>
      <c r="K16" s="16" t="s">
        <v>30</v>
      </c>
      <c r="L16" s="16" t="s">
        <v>41</v>
      </c>
      <c r="M16" s="20">
        <f>59740/1.16</f>
        <v>51500</v>
      </c>
      <c r="N16" s="16" t="s">
        <v>32</v>
      </c>
      <c r="O16" s="21">
        <f t="shared" si="0"/>
        <v>51500</v>
      </c>
      <c r="P16" s="22">
        <f>+O16*1.16</f>
        <v>59739.999999999993</v>
      </c>
    </row>
    <row r="17" spans="1:16" s="7" customFormat="1" ht="101.25" x14ac:dyDescent="0.2">
      <c r="A17" s="16" t="s">
        <v>63</v>
      </c>
      <c r="B17" s="16" t="s">
        <v>64</v>
      </c>
      <c r="C17" s="17" t="s">
        <v>65</v>
      </c>
      <c r="D17" s="18"/>
      <c r="E17" s="16" t="s">
        <v>66</v>
      </c>
      <c r="F17" s="16" t="s">
        <v>67</v>
      </c>
      <c r="G17" s="19">
        <v>43144</v>
      </c>
      <c r="H17" s="19">
        <v>43144</v>
      </c>
      <c r="I17" s="19">
        <v>43465</v>
      </c>
      <c r="J17" s="16" t="s">
        <v>29</v>
      </c>
      <c r="K17" s="16" t="s">
        <v>30</v>
      </c>
      <c r="L17" s="16" t="s">
        <v>50</v>
      </c>
      <c r="M17" s="20">
        <f>116000/1.16</f>
        <v>100000</v>
      </c>
      <c r="N17" s="16" t="s">
        <v>32</v>
      </c>
      <c r="O17" s="21">
        <f t="shared" si="0"/>
        <v>100000</v>
      </c>
      <c r="P17" s="22">
        <f>+M17*1.16</f>
        <v>115999.99999999999</v>
      </c>
    </row>
    <row r="18" spans="1:16" s="7" customFormat="1" ht="121.5" x14ac:dyDescent="0.2">
      <c r="A18" s="16" t="s">
        <v>68</v>
      </c>
      <c r="B18" s="16" t="s">
        <v>64</v>
      </c>
      <c r="C18" s="17" t="s">
        <v>69</v>
      </c>
      <c r="D18" s="18"/>
      <c r="E18" s="16" t="s">
        <v>70</v>
      </c>
      <c r="F18" s="16" t="s">
        <v>71</v>
      </c>
      <c r="G18" s="19">
        <v>43144</v>
      </c>
      <c r="H18" s="19">
        <v>43144</v>
      </c>
      <c r="I18" s="19">
        <v>43465</v>
      </c>
      <c r="J18" s="16" t="s">
        <v>29</v>
      </c>
      <c r="K18" s="16" t="s">
        <v>30</v>
      </c>
      <c r="L18" s="16" t="s">
        <v>50</v>
      </c>
      <c r="M18" s="20">
        <f>188000/1.16</f>
        <v>162068.96551724139</v>
      </c>
      <c r="N18" s="16" t="s">
        <v>32</v>
      </c>
      <c r="O18" s="21">
        <f t="shared" si="0"/>
        <v>162068.96551724139</v>
      </c>
      <c r="P18" s="22">
        <f>+O18</f>
        <v>162068.96551724139</v>
      </c>
    </row>
    <row r="19" spans="1:16" s="7" customFormat="1" ht="101.25" x14ac:dyDescent="0.2">
      <c r="A19" s="16" t="s">
        <v>72</v>
      </c>
      <c r="B19" s="16" t="s">
        <v>64</v>
      </c>
      <c r="C19" s="17" t="s">
        <v>73</v>
      </c>
      <c r="D19" s="18" t="s">
        <v>47</v>
      </c>
      <c r="E19" s="16" t="s">
        <v>74</v>
      </c>
      <c r="F19" s="16" t="s">
        <v>75</v>
      </c>
      <c r="G19" s="19">
        <v>43144</v>
      </c>
      <c r="H19" s="19">
        <v>43144</v>
      </c>
      <c r="I19" s="19">
        <v>43465</v>
      </c>
      <c r="J19" s="16" t="s">
        <v>29</v>
      </c>
      <c r="K19" s="16" t="s">
        <v>30</v>
      </c>
      <c r="L19" s="16" t="s">
        <v>50</v>
      </c>
      <c r="M19" s="20">
        <f>172500/1.16</f>
        <v>148706.89655172414</v>
      </c>
      <c r="N19" s="16" t="s">
        <v>32</v>
      </c>
      <c r="O19" s="21">
        <f t="shared" si="0"/>
        <v>148706.89655172414</v>
      </c>
      <c r="P19" s="22">
        <f>+M19*1.16</f>
        <v>172500</v>
      </c>
    </row>
    <row r="20" spans="1:16" s="7" customFormat="1" ht="101.25" x14ac:dyDescent="0.2">
      <c r="A20" s="16" t="s">
        <v>76</v>
      </c>
      <c r="B20" s="16" t="s">
        <v>64</v>
      </c>
      <c r="C20" s="17" t="s">
        <v>77</v>
      </c>
      <c r="D20" s="18" t="s">
        <v>78</v>
      </c>
      <c r="E20" s="16" t="s">
        <v>79</v>
      </c>
      <c r="F20" s="16" t="s">
        <v>80</v>
      </c>
      <c r="G20" s="19">
        <v>43144</v>
      </c>
      <c r="H20" s="19">
        <v>43144</v>
      </c>
      <c r="I20" s="19">
        <v>43465</v>
      </c>
      <c r="J20" s="16" t="s">
        <v>29</v>
      </c>
      <c r="K20" s="16" t="s">
        <v>30</v>
      </c>
      <c r="L20" s="16" t="s">
        <v>50</v>
      </c>
      <c r="M20" s="20">
        <f>192000/1.16</f>
        <v>165517.24137931035</v>
      </c>
      <c r="N20" s="16" t="s">
        <v>32</v>
      </c>
      <c r="O20" s="21">
        <f t="shared" si="0"/>
        <v>165517.24137931035</v>
      </c>
      <c r="P20" s="22">
        <f t="shared" ref="P20:P26" si="1">+O20*1.16</f>
        <v>192000</v>
      </c>
    </row>
    <row r="21" spans="1:16" s="7" customFormat="1" ht="46.5" x14ac:dyDescent="0.2">
      <c r="A21" s="16" t="s">
        <v>81</v>
      </c>
      <c r="B21" s="16" t="s">
        <v>34</v>
      </c>
      <c r="C21" s="17" t="s">
        <v>82</v>
      </c>
      <c r="D21" s="18" t="s">
        <v>37</v>
      </c>
      <c r="E21" s="16" t="s">
        <v>83</v>
      </c>
      <c r="F21" s="16" t="s">
        <v>84</v>
      </c>
      <c r="G21" s="19">
        <v>43145</v>
      </c>
      <c r="H21" s="19">
        <v>43145</v>
      </c>
      <c r="I21" s="19">
        <v>43465</v>
      </c>
      <c r="J21" s="16" t="s">
        <v>29</v>
      </c>
      <c r="K21" s="16" t="s">
        <v>30</v>
      </c>
      <c r="L21" s="16" t="s">
        <v>41</v>
      </c>
      <c r="M21" s="20">
        <f>(4872*6)/1.16</f>
        <v>25200</v>
      </c>
      <c r="N21" s="16" t="s">
        <v>32</v>
      </c>
      <c r="O21" s="21">
        <f t="shared" si="0"/>
        <v>25200</v>
      </c>
      <c r="P21" s="22">
        <f t="shared" si="1"/>
        <v>29231.999999999996</v>
      </c>
    </row>
    <row r="22" spans="1:16" s="7" customFormat="1" ht="81" x14ac:dyDescent="0.2">
      <c r="A22" s="16" t="s">
        <v>85</v>
      </c>
      <c r="B22" s="16" t="s">
        <v>34</v>
      </c>
      <c r="C22" s="17" t="s">
        <v>86</v>
      </c>
      <c r="D22" s="18" t="s">
        <v>47</v>
      </c>
      <c r="E22" s="16" t="s">
        <v>87</v>
      </c>
      <c r="F22" s="16" t="s">
        <v>88</v>
      </c>
      <c r="G22" s="19">
        <v>43151</v>
      </c>
      <c r="H22" s="19">
        <v>43132</v>
      </c>
      <c r="I22" s="19">
        <v>43465</v>
      </c>
      <c r="J22" s="16" t="s">
        <v>29</v>
      </c>
      <c r="K22" s="16" t="s">
        <v>30</v>
      </c>
      <c r="L22" s="16" t="s">
        <v>41</v>
      </c>
      <c r="M22" s="20">
        <f>179568/1.16</f>
        <v>154800</v>
      </c>
      <c r="N22" s="16" t="s">
        <v>32</v>
      </c>
      <c r="O22" s="21">
        <f t="shared" si="0"/>
        <v>154800</v>
      </c>
      <c r="P22" s="22">
        <f t="shared" si="1"/>
        <v>179568</v>
      </c>
    </row>
    <row r="23" spans="1:16" s="7" customFormat="1" ht="81" x14ac:dyDescent="0.2">
      <c r="A23" s="16" t="s">
        <v>89</v>
      </c>
      <c r="B23" s="16" t="s">
        <v>34</v>
      </c>
      <c r="C23" s="17" t="s">
        <v>90</v>
      </c>
      <c r="D23" s="18" t="s">
        <v>47</v>
      </c>
      <c r="E23" s="16" t="s">
        <v>91</v>
      </c>
      <c r="F23" s="16" t="s">
        <v>92</v>
      </c>
      <c r="G23" s="19">
        <v>43157</v>
      </c>
      <c r="H23" s="19">
        <v>43157</v>
      </c>
      <c r="I23" s="19">
        <v>43278</v>
      </c>
      <c r="J23" s="16" t="s">
        <v>29</v>
      </c>
      <c r="K23" s="16" t="s">
        <v>30</v>
      </c>
      <c r="L23" s="16" t="s">
        <v>41</v>
      </c>
      <c r="M23" s="20">
        <f>243600/1.16</f>
        <v>210000</v>
      </c>
      <c r="N23" s="16" t="s">
        <v>32</v>
      </c>
      <c r="O23" s="21">
        <f t="shared" si="0"/>
        <v>210000</v>
      </c>
      <c r="P23" s="22">
        <f t="shared" si="1"/>
        <v>243599.99999999997</v>
      </c>
    </row>
    <row r="24" spans="1:16" s="7" customFormat="1" ht="46.5" x14ac:dyDescent="0.2">
      <c r="A24" s="16" t="s">
        <v>93</v>
      </c>
      <c r="B24" s="16" t="s">
        <v>94</v>
      </c>
      <c r="C24" s="17" t="s">
        <v>95</v>
      </c>
      <c r="D24" s="18" t="s">
        <v>37</v>
      </c>
      <c r="E24" s="16" t="s">
        <v>96</v>
      </c>
      <c r="F24" s="16" t="s">
        <v>97</v>
      </c>
      <c r="G24" s="19">
        <v>43157</v>
      </c>
      <c r="H24" s="19">
        <v>43159</v>
      </c>
      <c r="I24" s="19">
        <v>43466</v>
      </c>
      <c r="J24" s="16" t="s">
        <v>29</v>
      </c>
      <c r="K24" s="16" t="s">
        <v>30</v>
      </c>
      <c r="L24" s="16" t="s">
        <v>50</v>
      </c>
      <c r="M24" s="20">
        <f>20512/1.16</f>
        <v>17682.758620689656</v>
      </c>
      <c r="N24" s="16" t="s">
        <v>98</v>
      </c>
      <c r="O24" s="21">
        <f>+M24*19</f>
        <v>335972.41379310348</v>
      </c>
      <c r="P24" s="22">
        <f t="shared" si="1"/>
        <v>389728</v>
      </c>
    </row>
    <row r="25" spans="1:16" s="7" customFormat="1" ht="46.5" x14ac:dyDescent="0.2">
      <c r="A25" s="16" t="s">
        <v>99</v>
      </c>
      <c r="B25" s="16" t="s">
        <v>94</v>
      </c>
      <c r="C25" s="17" t="s">
        <v>95</v>
      </c>
      <c r="D25" s="18" t="s">
        <v>37</v>
      </c>
      <c r="E25" s="16" t="s">
        <v>100</v>
      </c>
      <c r="F25" s="16" t="s">
        <v>97</v>
      </c>
      <c r="G25" s="19">
        <v>43157</v>
      </c>
      <c r="H25" s="19">
        <v>43159</v>
      </c>
      <c r="I25" s="19">
        <v>43466</v>
      </c>
      <c r="J25" s="16" t="s">
        <v>29</v>
      </c>
      <c r="K25" s="16" t="s">
        <v>30</v>
      </c>
      <c r="L25" s="16" t="s">
        <v>50</v>
      </c>
      <c r="M25" s="20">
        <f>51654.75/1.16</f>
        <v>44529.956896551725</v>
      </c>
      <c r="N25" s="16" t="s">
        <v>32</v>
      </c>
      <c r="O25" s="21">
        <f>+M25</f>
        <v>44529.956896551725</v>
      </c>
      <c r="P25" s="22">
        <f t="shared" si="1"/>
        <v>51654.75</v>
      </c>
    </row>
    <row r="26" spans="1:16" s="7" customFormat="1" ht="46.5" x14ac:dyDescent="0.2">
      <c r="A26" s="16" t="s">
        <v>101</v>
      </c>
      <c r="B26" s="16" t="s">
        <v>94</v>
      </c>
      <c r="C26" s="17" t="s">
        <v>95</v>
      </c>
      <c r="D26" s="18" t="s">
        <v>37</v>
      </c>
      <c r="E26" s="16" t="s">
        <v>102</v>
      </c>
      <c r="F26" s="16" t="s">
        <v>97</v>
      </c>
      <c r="G26" s="19">
        <v>43157</v>
      </c>
      <c r="H26" s="19">
        <v>43159</v>
      </c>
      <c r="I26" s="19">
        <v>43466</v>
      </c>
      <c r="J26" s="16" t="s">
        <v>29</v>
      </c>
      <c r="K26" s="16" t="s">
        <v>30</v>
      </c>
      <c r="L26" s="16" t="s">
        <v>50</v>
      </c>
      <c r="M26" s="20">
        <f>60.9/1.16</f>
        <v>52.5</v>
      </c>
      <c r="N26" s="16" t="s">
        <v>98</v>
      </c>
      <c r="O26" s="21">
        <f>+M26*19</f>
        <v>997.5</v>
      </c>
      <c r="P26" s="22">
        <f t="shared" si="1"/>
        <v>1157.0999999999999</v>
      </c>
    </row>
    <row r="27" spans="1:16" s="7" customFormat="1" ht="69.75" x14ac:dyDescent="0.2">
      <c r="A27" s="16" t="s">
        <v>103</v>
      </c>
      <c r="B27" s="16" t="s">
        <v>94</v>
      </c>
      <c r="C27" s="17" t="s">
        <v>104</v>
      </c>
      <c r="D27" s="18" t="s">
        <v>37</v>
      </c>
      <c r="E27" s="16" t="s">
        <v>105</v>
      </c>
      <c r="F27" s="16" t="s">
        <v>106</v>
      </c>
      <c r="G27" s="19">
        <v>43157</v>
      </c>
      <c r="H27" s="19">
        <v>43159</v>
      </c>
      <c r="I27" s="19">
        <v>43466</v>
      </c>
      <c r="J27" s="16" t="s">
        <v>29</v>
      </c>
      <c r="K27" s="16" t="s">
        <v>30</v>
      </c>
      <c r="L27" s="16" t="s">
        <v>50</v>
      </c>
      <c r="M27" s="20">
        <v>309073.14</v>
      </c>
      <c r="N27" s="16" t="s">
        <v>32</v>
      </c>
      <c r="O27" s="21">
        <f t="shared" ref="O27:O32" si="2">+M27</f>
        <v>309073.14</v>
      </c>
      <c r="P27" s="22">
        <f>+O27</f>
        <v>309073.14</v>
      </c>
    </row>
    <row r="28" spans="1:16" s="7" customFormat="1" ht="46.5" x14ac:dyDescent="0.2">
      <c r="A28" s="16" t="s">
        <v>107</v>
      </c>
      <c r="B28" s="16" t="s">
        <v>94</v>
      </c>
      <c r="C28" s="17" t="s">
        <v>108</v>
      </c>
      <c r="D28" s="18" t="s">
        <v>37</v>
      </c>
      <c r="E28" s="16" t="s">
        <v>109</v>
      </c>
      <c r="F28" s="16" t="s">
        <v>106</v>
      </c>
      <c r="G28" s="19">
        <v>43157</v>
      </c>
      <c r="H28" s="19">
        <v>43159</v>
      </c>
      <c r="I28" s="19">
        <v>43466</v>
      </c>
      <c r="J28" s="16" t="s">
        <v>29</v>
      </c>
      <c r="K28" s="16" t="s">
        <v>30</v>
      </c>
      <c r="L28" s="16" t="s">
        <v>50</v>
      </c>
      <c r="M28" s="20">
        <f>2010266.66/1.16</f>
        <v>1732988.5</v>
      </c>
      <c r="N28" s="16" t="s">
        <v>32</v>
      </c>
      <c r="O28" s="21">
        <f t="shared" si="2"/>
        <v>1732988.5</v>
      </c>
      <c r="P28" s="22">
        <f t="shared" ref="P28:P52" si="3">+O28*1.16</f>
        <v>2010266.66</v>
      </c>
    </row>
    <row r="29" spans="1:16" s="7" customFormat="1" ht="101.25" x14ac:dyDescent="0.2">
      <c r="A29" s="16" t="s">
        <v>110</v>
      </c>
      <c r="B29" s="16" t="s">
        <v>34</v>
      </c>
      <c r="C29" s="17" t="s">
        <v>111</v>
      </c>
      <c r="D29" s="18" t="s">
        <v>61</v>
      </c>
      <c r="E29" s="16" t="s">
        <v>112</v>
      </c>
      <c r="F29" s="16" t="s">
        <v>113</v>
      </c>
      <c r="G29" s="19">
        <v>43160</v>
      </c>
      <c r="H29" s="19">
        <v>43160</v>
      </c>
      <c r="I29" s="19">
        <v>43465</v>
      </c>
      <c r="J29" s="16" t="s">
        <v>29</v>
      </c>
      <c r="K29" s="16" t="s">
        <v>30</v>
      </c>
      <c r="L29" s="16" t="s">
        <v>41</v>
      </c>
      <c r="M29" s="20">
        <f>72780.72/1.16</f>
        <v>62742.000000000007</v>
      </c>
      <c r="N29" s="16" t="s">
        <v>32</v>
      </c>
      <c r="O29" s="21">
        <f t="shared" si="2"/>
        <v>62742.000000000007</v>
      </c>
      <c r="P29" s="22">
        <f t="shared" si="3"/>
        <v>72780.72</v>
      </c>
    </row>
    <row r="30" spans="1:16" s="7" customFormat="1" ht="121.5" x14ac:dyDescent="0.2">
      <c r="A30" s="16" t="s">
        <v>114</v>
      </c>
      <c r="B30" s="16" t="s">
        <v>34</v>
      </c>
      <c r="C30" s="17" t="s">
        <v>115</v>
      </c>
      <c r="D30" s="18" t="s">
        <v>37</v>
      </c>
      <c r="E30" s="16" t="s">
        <v>116</v>
      </c>
      <c r="F30" s="16" t="s">
        <v>117</v>
      </c>
      <c r="G30" s="19">
        <v>43161</v>
      </c>
      <c r="H30" s="19">
        <v>43161</v>
      </c>
      <c r="I30" s="19">
        <v>43281</v>
      </c>
      <c r="J30" s="16" t="s">
        <v>29</v>
      </c>
      <c r="K30" s="16" t="s">
        <v>30</v>
      </c>
      <c r="L30" s="16" t="s">
        <v>41</v>
      </c>
      <c r="M30" s="20">
        <f>98340.16/1.16</f>
        <v>84776.000000000015</v>
      </c>
      <c r="N30" s="16" t="s">
        <v>32</v>
      </c>
      <c r="O30" s="21">
        <f t="shared" si="2"/>
        <v>84776.000000000015</v>
      </c>
      <c r="P30" s="22">
        <f t="shared" si="3"/>
        <v>98340.160000000003</v>
      </c>
    </row>
    <row r="31" spans="1:16" s="7" customFormat="1" ht="46.5" x14ac:dyDescent="0.2">
      <c r="A31" s="16" t="s">
        <v>118</v>
      </c>
      <c r="B31" s="16" t="s">
        <v>34</v>
      </c>
      <c r="C31" s="17" t="s">
        <v>119</v>
      </c>
      <c r="D31" s="18" t="s">
        <v>37</v>
      </c>
      <c r="E31" s="16" t="s">
        <v>120</v>
      </c>
      <c r="F31" s="16" t="s">
        <v>121</v>
      </c>
      <c r="G31" s="19">
        <v>43161</v>
      </c>
      <c r="H31" s="19">
        <v>43161</v>
      </c>
      <c r="I31" s="19">
        <v>43465</v>
      </c>
      <c r="J31" s="16" t="s">
        <v>29</v>
      </c>
      <c r="K31" s="16" t="s">
        <v>30</v>
      </c>
      <c r="L31" s="16" t="s">
        <v>41</v>
      </c>
      <c r="M31" s="20">
        <f>53704.35/1.16</f>
        <v>46296.853448275862</v>
      </c>
      <c r="N31" s="16" t="s">
        <v>32</v>
      </c>
      <c r="O31" s="21">
        <f t="shared" si="2"/>
        <v>46296.853448275862</v>
      </c>
      <c r="P31" s="22">
        <f t="shared" si="3"/>
        <v>53704.35</v>
      </c>
    </row>
    <row r="32" spans="1:16" s="7" customFormat="1" ht="104.25" customHeight="1" x14ac:dyDescent="0.2">
      <c r="A32" s="16" t="s">
        <v>122</v>
      </c>
      <c r="B32" s="16" t="s">
        <v>34</v>
      </c>
      <c r="C32" s="17" t="s">
        <v>123</v>
      </c>
      <c r="D32" s="18"/>
      <c r="E32" s="16" t="s">
        <v>124</v>
      </c>
      <c r="F32" s="16" t="s">
        <v>121</v>
      </c>
      <c r="G32" s="19">
        <v>43163</v>
      </c>
      <c r="H32" s="19">
        <v>43163</v>
      </c>
      <c r="I32" s="19">
        <v>43220</v>
      </c>
      <c r="J32" s="16" t="s">
        <v>29</v>
      </c>
      <c r="K32" s="16" t="s">
        <v>30</v>
      </c>
      <c r="L32" s="16" t="s">
        <v>41</v>
      </c>
      <c r="M32" s="20">
        <f>52780/1.16</f>
        <v>45500</v>
      </c>
      <c r="N32" s="16" t="s">
        <v>32</v>
      </c>
      <c r="O32" s="21">
        <f t="shared" si="2"/>
        <v>45500</v>
      </c>
      <c r="P32" s="22">
        <f t="shared" si="3"/>
        <v>52780</v>
      </c>
    </row>
    <row r="33" spans="1:17" s="7" customFormat="1" ht="60.75" x14ac:dyDescent="0.2">
      <c r="A33" s="16" t="s">
        <v>125</v>
      </c>
      <c r="B33" s="16" t="s">
        <v>34</v>
      </c>
      <c r="C33" s="17" t="s">
        <v>126</v>
      </c>
      <c r="D33" s="18"/>
      <c r="E33" s="16" t="s">
        <v>127</v>
      </c>
      <c r="F33" s="16" t="s">
        <v>128</v>
      </c>
      <c r="G33" s="19">
        <v>43164</v>
      </c>
      <c r="H33" s="19">
        <v>43164</v>
      </c>
      <c r="I33" s="19">
        <v>43241</v>
      </c>
      <c r="J33" s="16" t="s">
        <v>29</v>
      </c>
      <c r="K33" s="16" t="s">
        <v>30</v>
      </c>
      <c r="L33" s="16" t="s">
        <v>129</v>
      </c>
      <c r="M33" s="20">
        <f>52172.81/1.16</f>
        <v>44976.560344827587</v>
      </c>
      <c r="N33" s="16" t="s">
        <v>98</v>
      </c>
      <c r="O33" s="21">
        <f>+M33*19</f>
        <v>854554.64655172417</v>
      </c>
      <c r="P33" s="22">
        <f t="shared" si="3"/>
        <v>991283.39</v>
      </c>
    </row>
    <row r="34" spans="1:17" s="7" customFormat="1" ht="46.5" x14ac:dyDescent="0.2">
      <c r="A34" s="16" t="s">
        <v>130</v>
      </c>
      <c r="B34" s="16" t="s">
        <v>34</v>
      </c>
      <c r="C34" s="17" t="s">
        <v>131</v>
      </c>
      <c r="D34" s="18"/>
      <c r="E34" s="16" t="s">
        <v>132</v>
      </c>
      <c r="F34" s="16" t="s">
        <v>133</v>
      </c>
      <c r="G34" s="19">
        <v>43165</v>
      </c>
      <c r="H34" s="19">
        <v>43165</v>
      </c>
      <c r="I34" s="19">
        <v>43203</v>
      </c>
      <c r="J34" s="16" t="s">
        <v>29</v>
      </c>
      <c r="K34" s="16" t="s">
        <v>30</v>
      </c>
      <c r="L34" s="16" t="s">
        <v>41</v>
      </c>
      <c r="M34" s="20">
        <f>116915.24/1.16</f>
        <v>100789.00000000001</v>
      </c>
      <c r="N34" s="16" t="s">
        <v>32</v>
      </c>
      <c r="O34" s="21">
        <f t="shared" ref="O34:O39" si="4">+M34</f>
        <v>100789.00000000001</v>
      </c>
      <c r="P34" s="22">
        <f t="shared" si="3"/>
        <v>116915.24</v>
      </c>
    </row>
    <row r="35" spans="1:17" s="7" customFormat="1" ht="69.75" x14ac:dyDescent="0.2">
      <c r="A35" s="16" t="s">
        <v>134</v>
      </c>
      <c r="B35" s="16" t="s">
        <v>34</v>
      </c>
      <c r="C35" s="17" t="s">
        <v>135</v>
      </c>
      <c r="D35" s="18"/>
      <c r="E35" s="16" t="s">
        <v>136</v>
      </c>
      <c r="F35" s="16" t="s">
        <v>137</v>
      </c>
      <c r="G35" s="19">
        <v>43166</v>
      </c>
      <c r="H35" s="19">
        <v>43166</v>
      </c>
      <c r="I35" s="19">
        <v>43244</v>
      </c>
      <c r="J35" s="16" t="s">
        <v>29</v>
      </c>
      <c r="K35" s="16" t="s">
        <v>30</v>
      </c>
      <c r="L35" s="16" t="s">
        <v>41</v>
      </c>
      <c r="M35" s="20">
        <f>97556/1.16</f>
        <v>84100</v>
      </c>
      <c r="N35" s="16" t="s">
        <v>32</v>
      </c>
      <c r="O35" s="21">
        <f t="shared" si="4"/>
        <v>84100</v>
      </c>
      <c r="P35" s="22">
        <f t="shared" si="3"/>
        <v>97556</v>
      </c>
    </row>
    <row r="36" spans="1:17" s="7" customFormat="1" ht="222.75" x14ac:dyDescent="0.2">
      <c r="A36" s="16" t="s">
        <v>138</v>
      </c>
      <c r="B36" s="16" t="s">
        <v>34</v>
      </c>
      <c r="C36" s="17" t="s">
        <v>139</v>
      </c>
      <c r="D36" s="18" t="s">
        <v>37</v>
      </c>
      <c r="E36" s="16" t="s">
        <v>140</v>
      </c>
      <c r="F36" s="16" t="s">
        <v>92</v>
      </c>
      <c r="G36" s="19">
        <v>43187</v>
      </c>
      <c r="H36" s="19">
        <v>43187</v>
      </c>
      <c r="I36" s="19">
        <v>43214</v>
      </c>
      <c r="J36" s="16" t="s">
        <v>29</v>
      </c>
      <c r="K36" s="16" t="s">
        <v>30</v>
      </c>
      <c r="L36" s="16" t="s">
        <v>41</v>
      </c>
      <c r="M36" s="20">
        <v>45455.56</v>
      </c>
      <c r="N36" s="16" t="s">
        <v>32</v>
      </c>
      <c r="O36" s="21">
        <f t="shared" si="4"/>
        <v>45455.56</v>
      </c>
      <c r="P36" s="22">
        <f t="shared" si="3"/>
        <v>52728.449599999993</v>
      </c>
    </row>
    <row r="37" spans="1:17" s="7" customFormat="1" ht="60.75" x14ac:dyDescent="0.2">
      <c r="A37" s="16" t="s">
        <v>141</v>
      </c>
      <c r="B37" s="16" t="s">
        <v>34</v>
      </c>
      <c r="C37" s="17" t="s">
        <v>142</v>
      </c>
      <c r="D37" s="18" t="s">
        <v>37</v>
      </c>
      <c r="E37" s="16" t="s">
        <v>143</v>
      </c>
      <c r="F37" s="16" t="s">
        <v>144</v>
      </c>
      <c r="G37" s="19">
        <v>43192</v>
      </c>
      <c r="H37" s="19">
        <v>43192</v>
      </c>
      <c r="I37" s="19">
        <v>43465</v>
      </c>
      <c r="J37" s="16" t="s">
        <v>29</v>
      </c>
      <c r="K37" s="16" t="s">
        <v>30</v>
      </c>
      <c r="L37" s="16" t="s">
        <v>41</v>
      </c>
      <c r="M37" s="20">
        <f>54404/1.16</f>
        <v>46900</v>
      </c>
      <c r="N37" s="16" t="s">
        <v>32</v>
      </c>
      <c r="O37" s="21">
        <f t="shared" si="4"/>
        <v>46900</v>
      </c>
      <c r="P37" s="22">
        <f t="shared" si="3"/>
        <v>54403.999999999993</v>
      </c>
    </row>
    <row r="38" spans="1:17" s="7" customFormat="1" ht="46.5" x14ac:dyDescent="0.2">
      <c r="A38" s="16" t="s">
        <v>145</v>
      </c>
      <c r="B38" s="16" t="s">
        <v>34</v>
      </c>
      <c r="C38" s="17" t="s">
        <v>146</v>
      </c>
      <c r="D38" s="18" t="s">
        <v>37</v>
      </c>
      <c r="E38" s="16" t="s">
        <v>147</v>
      </c>
      <c r="F38" s="16" t="s">
        <v>148</v>
      </c>
      <c r="G38" s="19">
        <v>43207</v>
      </c>
      <c r="H38" s="19">
        <v>43207</v>
      </c>
      <c r="I38" s="19">
        <v>43329</v>
      </c>
      <c r="J38" s="16" t="s">
        <v>29</v>
      </c>
      <c r="K38" s="16" t="s">
        <v>30</v>
      </c>
      <c r="L38" s="16" t="s">
        <v>41</v>
      </c>
      <c r="M38" s="20">
        <f>178060/1.16</f>
        <v>153500</v>
      </c>
      <c r="N38" s="16" t="s">
        <v>32</v>
      </c>
      <c r="O38" s="21">
        <f t="shared" si="4"/>
        <v>153500</v>
      </c>
      <c r="P38" s="22">
        <f t="shared" si="3"/>
        <v>178060</v>
      </c>
    </row>
    <row r="39" spans="1:17" s="7" customFormat="1" ht="71.25" customHeight="1" x14ac:dyDescent="0.2">
      <c r="A39" s="16" t="s">
        <v>149</v>
      </c>
      <c r="B39" s="16" t="s">
        <v>34</v>
      </c>
      <c r="C39" s="17" t="s">
        <v>150</v>
      </c>
      <c r="D39" s="18"/>
      <c r="E39" s="16" t="s">
        <v>151</v>
      </c>
      <c r="F39" s="16" t="s">
        <v>152</v>
      </c>
      <c r="G39" s="19">
        <v>43208</v>
      </c>
      <c r="H39" s="19">
        <v>43208</v>
      </c>
      <c r="I39" s="19" t="s">
        <v>153</v>
      </c>
      <c r="J39" s="16" t="s">
        <v>29</v>
      </c>
      <c r="K39" s="16" t="s">
        <v>30</v>
      </c>
      <c r="L39" s="16" t="s">
        <v>154</v>
      </c>
      <c r="M39" s="20">
        <f>150800/1.16</f>
        <v>130000.00000000001</v>
      </c>
      <c r="N39" s="16" t="s">
        <v>32</v>
      </c>
      <c r="O39" s="21">
        <f t="shared" si="4"/>
        <v>130000.00000000001</v>
      </c>
      <c r="P39" s="22">
        <f t="shared" si="3"/>
        <v>150800</v>
      </c>
    </row>
    <row r="40" spans="1:17" s="7" customFormat="1" ht="101.25" x14ac:dyDescent="0.2">
      <c r="A40" s="16" t="s">
        <v>155</v>
      </c>
      <c r="B40" s="16" t="s">
        <v>34</v>
      </c>
      <c r="C40" s="17" t="s">
        <v>126</v>
      </c>
      <c r="D40" s="18"/>
      <c r="E40" s="16" t="s">
        <v>156</v>
      </c>
      <c r="F40" s="16" t="s">
        <v>157</v>
      </c>
      <c r="G40" s="19">
        <v>43209</v>
      </c>
      <c r="H40" s="19">
        <v>43209</v>
      </c>
      <c r="I40" s="19">
        <v>43265</v>
      </c>
      <c r="J40" s="16" t="s">
        <v>29</v>
      </c>
      <c r="K40" s="16" t="s">
        <v>30</v>
      </c>
      <c r="L40" s="16" t="s">
        <v>41</v>
      </c>
      <c r="M40" s="20">
        <f>2390.76/1.16</f>
        <v>2061.0000000000005</v>
      </c>
      <c r="N40" s="16" t="s">
        <v>98</v>
      </c>
      <c r="O40" s="21">
        <f>+M40*19</f>
        <v>39159.000000000007</v>
      </c>
      <c r="P40" s="22">
        <f t="shared" si="3"/>
        <v>45424.44</v>
      </c>
      <c r="Q40" s="7" t="s">
        <v>158</v>
      </c>
    </row>
    <row r="41" spans="1:17" s="7" customFormat="1" ht="81" customHeight="1" x14ac:dyDescent="0.2">
      <c r="A41" s="16" t="s">
        <v>159</v>
      </c>
      <c r="B41" s="16" t="s">
        <v>160</v>
      </c>
      <c r="C41" s="17" t="s">
        <v>161</v>
      </c>
      <c r="D41" s="18" t="s">
        <v>61</v>
      </c>
      <c r="E41" s="16" t="s">
        <v>162</v>
      </c>
      <c r="F41" s="16" t="s">
        <v>163</v>
      </c>
      <c r="G41" s="19">
        <v>43187</v>
      </c>
      <c r="H41" s="19">
        <v>43174</v>
      </c>
      <c r="I41" s="19">
        <v>44269</v>
      </c>
      <c r="J41" s="16" t="s">
        <v>29</v>
      </c>
      <c r="K41" s="16" t="s">
        <v>164</v>
      </c>
      <c r="L41" s="16" t="s">
        <v>50</v>
      </c>
      <c r="M41" s="20">
        <v>804239.19</v>
      </c>
      <c r="N41" s="16" t="s">
        <v>32</v>
      </c>
      <c r="O41" s="21">
        <f>+M41</f>
        <v>804239.19</v>
      </c>
      <c r="P41" s="22">
        <f t="shared" si="3"/>
        <v>932917.46039999987</v>
      </c>
    </row>
    <row r="42" spans="1:17" s="7" customFormat="1" ht="69.75" x14ac:dyDescent="0.2">
      <c r="A42" s="16" t="s">
        <v>165</v>
      </c>
      <c r="B42" s="16" t="s">
        <v>34</v>
      </c>
      <c r="C42" s="17" t="s">
        <v>166</v>
      </c>
      <c r="D42" s="18"/>
      <c r="E42" s="16" t="s">
        <v>167</v>
      </c>
      <c r="F42" s="16" t="s">
        <v>168</v>
      </c>
      <c r="G42" s="19">
        <v>43222</v>
      </c>
      <c r="H42" s="19">
        <v>43222</v>
      </c>
      <c r="I42" s="19">
        <v>43239</v>
      </c>
      <c r="J42" s="16" t="s">
        <v>29</v>
      </c>
      <c r="K42" s="16" t="s">
        <v>30</v>
      </c>
      <c r="L42" s="16" t="s">
        <v>41</v>
      </c>
      <c r="M42" s="20">
        <f>102405.39/1.16</f>
        <v>88280.508620689667</v>
      </c>
      <c r="N42" s="16" t="s">
        <v>32</v>
      </c>
      <c r="O42" s="21">
        <f>+M42</f>
        <v>88280.508620689667</v>
      </c>
      <c r="P42" s="22">
        <f t="shared" si="3"/>
        <v>102405.39</v>
      </c>
    </row>
    <row r="43" spans="1:17" s="7" customFormat="1" ht="60.75" x14ac:dyDescent="0.2">
      <c r="A43" s="16" t="s">
        <v>169</v>
      </c>
      <c r="B43" s="16" t="s">
        <v>34</v>
      </c>
      <c r="C43" s="17" t="s">
        <v>170</v>
      </c>
      <c r="D43" s="18"/>
      <c r="E43" s="16" t="s">
        <v>171</v>
      </c>
      <c r="F43" s="16" t="s">
        <v>172</v>
      </c>
      <c r="G43" s="19">
        <v>43227</v>
      </c>
      <c r="H43" s="19">
        <v>43227</v>
      </c>
      <c r="I43" s="19">
        <v>43465</v>
      </c>
      <c r="J43" s="16" t="s">
        <v>29</v>
      </c>
      <c r="K43" s="16" t="s">
        <v>30</v>
      </c>
      <c r="L43" s="16" t="s">
        <v>41</v>
      </c>
      <c r="M43" s="20">
        <f>53099.54/1.16</f>
        <v>45775.465517241384</v>
      </c>
      <c r="N43" s="16" t="s">
        <v>32</v>
      </c>
      <c r="O43" s="21">
        <f>+M43</f>
        <v>45775.465517241384</v>
      </c>
      <c r="P43" s="22">
        <f t="shared" si="3"/>
        <v>53099.54</v>
      </c>
    </row>
    <row r="44" spans="1:17" s="7" customFormat="1" ht="60.75" x14ac:dyDescent="0.2">
      <c r="A44" s="16" t="s">
        <v>173</v>
      </c>
      <c r="B44" s="16" t="s">
        <v>34</v>
      </c>
      <c r="C44" s="17" t="s">
        <v>126</v>
      </c>
      <c r="D44" s="18" t="s">
        <v>61</v>
      </c>
      <c r="E44" s="16" t="s">
        <v>174</v>
      </c>
      <c r="F44" s="16" t="s">
        <v>175</v>
      </c>
      <c r="G44" s="19">
        <v>43244</v>
      </c>
      <c r="H44" s="19">
        <v>43244</v>
      </c>
      <c r="I44" s="19">
        <v>43304</v>
      </c>
      <c r="J44" s="16" t="s">
        <v>29</v>
      </c>
      <c r="K44" s="16" t="s">
        <v>30</v>
      </c>
      <c r="L44" s="16" t="s">
        <v>176</v>
      </c>
      <c r="M44" s="20">
        <f>2112.59/1.16</f>
        <v>1821.1982758620693</v>
      </c>
      <c r="N44" s="16" t="s">
        <v>98</v>
      </c>
      <c r="O44" s="21">
        <f>+M44*20</f>
        <v>36423.965517241384</v>
      </c>
      <c r="P44" s="22">
        <f t="shared" si="3"/>
        <v>42251.8</v>
      </c>
    </row>
    <row r="45" spans="1:17" s="7" customFormat="1" ht="69.75" x14ac:dyDescent="0.2">
      <c r="A45" s="16" t="s">
        <v>177</v>
      </c>
      <c r="B45" s="16" t="s">
        <v>34</v>
      </c>
      <c r="C45" s="17" t="s">
        <v>178</v>
      </c>
      <c r="D45" s="18" t="s">
        <v>78</v>
      </c>
      <c r="E45" s="16" t="s">
        <v>179</v>
      </c>
      <c r="F45" s="16" t="s">
        <v>180</v>
      </c>
      <c r="G45" s="19">
        <v>43245</v>
      </c>
      <c r="H45" s="19">
        <v>43245</v>
      </c>
      <c r="I45" s="19">
        <v>43287</v>
      </c>
      <c r="J45" s="16" t="s">
        <v>29</v>
      </c>
      <c r="K45" s="16" t="s">
        <v>30</v>
      </c>
      <c r="L45" s="16" t="s">
        <v>176</v>
      </c>
      <c r="M45" s="20">
        <f>115713.82/1.16</f>
        <v>99753.29310344829</v>
      </c>
      <c r="N45" s="16" t="s">
        <v>98</v>
      </c>
      <c r="O45" s="21">
        <f>+M45*20</f>
        <v>1995065.8620689658</v>
      </c>
      <c r="P45" s="22">
        <f t="shared" si="3"/>
        <v>2314276.4000000004</v>
      </c>
    </row>
    <row r="46" spans="1:17" s="7" customFormat="1" ht="69.75" x14ac:dyDescent="0.2">
      <c r="A46" s="16" t="s">
        <v>181</v>
      </c>
      <c r="B46" s="16" t="s">
        <v>34</v>
      </c>
      <c r="C46" s="17" t="s">
        <v>182</v>
      </c>
      <c r="D46" s="18" t="s">
        <v>78</v>
      </c>
      <c r="E46" s="16" t="s">
        <v>183</v>
      </c>
      <c r="F46" s="16" t="s">
        <v>175</v>
      </c>
      <c r="G46" s="19">
        <v>43249</v>
      </c>
      <c r="H46" s="19">
        <v>43249</v>
      </c>
      <c r="I46" s="19" t="s">
        <v>184</v>
      </c>
      <c r="J46" s="16" t="s">
        <v>29</v>
      </c>
      <c r="K46" s="16" t="s">
        <v>30</v>
      </c>
      <c r="L46" s="16" t="s">
        <v>176</v>
      </c>
      <c r="M46" s="20">
        <f>9594.43/1.16</f>
        <v>8271.060344827587</v>
      </c>
      <c r="N46" s="16" t="s">
        <v>98</v>
      </c>
      <c r="O46" s="21">
        <f>+M46*20</f>
        <v>165421.20689655174</v>
      </c>
      <c r="P46" s="22">
        <f t="shared" si="3"/>
        <v>191888.6</v>
      </c>
    </row>
    <row r="47" spans="1:17" s="7" customFormat="1" ht="81" x14ac:dyDescent="0.2">
      <c r="A47" s="16" t="s">
        <v>185</v>
      </c>
      <c r="B47" s="16" t="s">
        <v>34</v>
      </c>
      <c r="C47" s="17" t="s">
        <v>186</v>
      </c>
      <c r="D47" s="18" t="s">
        <v>47</v>
      </c>
      <c r="E47" s="16" t="s">
        <v>187</v>
      </c>
      <c r="F47" s="16" t="s">
        <v>188</v>
      </c>
      <c r="G47" s="19">
        <v>43249</v>
      </c>
      <c r="H47" s="19">
        <v>43249</v>
      </c>
      <c r="I47" s="19">
        <v>43613</v>
      </c>
      <c r="J47" s="16" t="s">
        <v>29</v>
      </c>
      <c r="K47" s="16" t="s">
        <v>30</v>
      </c>
      <c r="L47" s="16" t="s">
        <v>189</v>
      </c>
      <c r="M47" s="20">
        <f>560865.83/1.16</f>
        <v>483505.02586206899</v>
      </c>
      <c r="N47" s="16" t="s">
        <v>32</v>
      </c>
      <c r="O47" s="21">
        <f>+M47</f>
        <v>483505.02586206899</v>
      </c>
      <c r="P47" s="22">
        <f t="shared" si="3"/>
        <v>560865.82999999996</v>
      </c>
    </row>
    <row r="48" spans="1:17" s="7" customFormat="1" ht="69.75" x14ac:dyDescent="0.2">
      <c r="A48" s="16" t="s">
        <v>190</v>
      </c>
      <c r="B48" s="16" t="s">
        <v>34</v>
      </c>
      <c r="C48" s="17" t="s">
        <v>191</v>
      </c>
      <c r="D48" s="18"/>
      <c r="E48" s="16" t="s">
        <v>192</v>
      </c>
      <c r="F48" s="16" t="s">
        <v>193</v>
      </c>
      <c r="G48" s="19">
        <v>43251</v>
      </c>
      <c r="H48" s="19">
        <v>43251</v>
      </c>
      <c r="I48" s="19">
        <v>43311</v>
      </c>
      <c r="J48" s="16" t="s">
        <v>29</v>
      </c>
      <c r="K48" s="16" t="s">
        <v>30</v>
      </c>
      <c r="L48" s="16" t="s">
        <v>176</v>
      </c>
      <c r="M48" s="20">
        <f>38670.29/1.16</f>
        <v>33336.456896551725</v>
      </c>
      <c r="N48" s="16" t="s">
        <v>98</v>
      </c>
      <c r="O48" s="21">
        <f>+M48*20</f>
        <v>666729.13793103443</v>
      </c>
      <c r="P48" s="22">
        <f t="shared" si="3"/>
        <v>773405.79999999993</v>
      </c>
    </row>
    <row r="49" spans="1:16" s="7" customFormat="1" ht="101.25" x14ac:dyDescent="0.2">
      <c r="A49" s="16" t="s">
        <v>194</v>
      </c>
      <c r="B49" s="16" t="s">
        <v>34</v>
      </c>
      <c r="C49" s="17" t="s">
        <v>195</v>
      </c>
      <c r="D49" s="18"/>
      <c r="E49" s="16" t="s">
        <v>196</v>
      </c>
      <c r="F49" s="16" t="s">
        <v>197</v>
      </c>
      <c r="G49" s="19">
        <v>43171</v>
      </c>
      <c r="H49" s="19">
        <v>43171</v>
      </c>
      <c r="I49" s="19">
        <v>43536</v>
      </c>
      <c r="J49" s="16" t="s">
        <v>29</v>
      </c>
      <c r="K49" s="16" t="s">
        <v>30</v>
      </c>
      <c r="L49" s="16" t="s">
        <v>189</v>
      </c>
      <c r="M49" s="20">
        <v>258429</v>
      </c>
      <c r="N49" s="16" t="s">
        <v>32</v>
      </c>
      <c r="O49" s="21">
        <f>+M49</f>
        <v>258429</v>
      </c>
      <c r="P49" s="22">
        <f t="shared" si="3"/>
        <v>299777.63999999996</v>
      </c>
    </row>
    <row r="50" spans="1:16" s="7" customFormat="1" ht="81" x14ac:dyDescent="0.2">
      <c r="A50" s="16">
        <v>31696309</v>
      </c>
      <c r="B50" s="16" t="s">
        <v>34</v>
      </c>
      <c r="C50" s="17" t="s">
        <v>198</v>
      </c>
      <c r="D50" s="18"/>
      <c r="E50" s="16" t="s">
        <v>199</v>
      </c>
      <c r="F50" s="16" t="s">
        <v>200</v>
      </c>
      <c r="G50" s="19">
        <v>43132</v>
      </c>
      <c r="H50" s="19">
        <v>43132</v>
      </c>
      <c r="I50" s="19">
        <v>43465</v>
      </c>
      <c r="J50" s="16" t="s">
        <v>29</v>
      </c>
      <c r="K50" s="16" t="s">
        <v>30</v>
      </c>
      <c r="L50" s="16" t="s">
        <v>201</v>
      </c>
      <c r="M50" s="23">
        <f>43458.6/1.16</f>
        <v>37464.310344827587</v>
      </c>
      <c r="N50" s="16" t="s">
        <v>32</v>
      </c>
      <c r="O50" s="21">
        <f>+M50</f>
        <v>37464.310344827587</v>
      </c>
      <c r="P50" s="22">
        <f t="shared" si="3"/>
        <v>43458.6</v>
      </c>
    </row>
    <row r="51" spans="1:16" s="7" customFormat="1" ht="81" x14ac:dyDescent="0.2">
      <c r="A51" s="16">
        <v>32783411</v>
      </c>
      <c r="B51" s="16" t="s">
        <v>34</v>
      </c>
      <c r="C51" s="17" t="s">
        <v>198</v>
      </c>
      <c r="D51" s="18"/>
      <c r="E51" s="16" t="s">
        <v>202</v>
      </c>
      <c r="F51" s="16" t="s">
        <v>200</v>
      </c>
      <c r="G51" s="19">
        <v>43132</v>
      </c>
      <c r="H51" s="19">
        <v>43132</v>
      </c>
      <c r="I51" s="19">
        <v>43465</v>
      </c>
      <c r="J51" s="16" t="s">
        <v>29</v>
      </c>
      <c r="K51" s="16" t="s">
        <v>30</v>
      </c>
      <c r="L51" s="16" t="s">
        <v>201</v>
      </c>
      <c r="M51" s="20">
        <f>38711.5/1.16</f>
        <v>33371.982758620688</v>
      </c>
      <c r="N51" s="16" t="s">
        <v>32</v>
      </c>
      <c r="O51" s="21">
        <f>+M51</f>
        <v>33371.982758620688</v>
      </c>
      <c r="P51" s="22">
        <f t="shared" si="3"/>
        <v>38711.499999999993</v>
      </c>
    </row>
    <row r="52" spans="1:16" s="7" customFormat="1" ht="69.75" x14ac:dyDescent="0.2">
      <c r="A52" s="16" t="s">
        <v>203</v>
      </c>
      <c r="B52" s="16" t="s">
        <v>204</v>
      </c>
      <c r="C52" s="17" t="s">
        <v>205</v>
      </c>
      <c r="D52" s="18" t="s">
        <v>37</v>
      </c>
      <c r="E52" s="16" t="s">
        <v>206</v>
      </c>
      <c r="F52" s="16" t="s">
        <v>207</v>
      </c>
      <c r="G52" s="19">
        <v>43279</v>
      </c>
      <c r="H52" s="19">
        <v>43279</v>
      </c>
      <c r="I52" s="19">
        <v>43416</v>
      </c>
      <c r="J52" s="16" t="s">
        <v>29</v>
      </c>
      <c r="K52" s="16" t="s">
        <v>30</v>
      </c>
      <c r="L52" s="16" t="s">
        <v>50</v>
      </c>
      <c r="M52" s="20">
        <f>961197.38/1.16</f>
        <v>828618.43103448278</v>
      </c>
      <c r="N52" s="16" t="s">
        <v>32</v>
      </c>
      <c r="O52" s="21">
        <f>+M52</f>
        <v>828618.43103448278</v>
      </c>
      <c r="P52" s="22">
        <f t="shared" si="3"/>
        <v>961197.38</v>
      </c>
    </row>
    <row r="53" spans="1:16" x14ac:dyDescent="0.3">
      <c r="C53" s="9"/>
      <c r="D53" s="9"/>
      <c r="E53" s="2"/>
      <c r="G53" s="8"/>
      <c r="M53" s="2"/>
      <c r="N53" s="2"/>
      <c r="O53" s="2"/>
      <c r="P53" s="2"/>
    </row>
    <row r="54" spans="1:16" x14ac:dyDescent="0.3">
      <c r="C54" s="9"/>
      <c r="D54" s="9"/>
      <c r="E54" s="2"/>
      <c r="G54" s="8"/>
      <c r="M54" s="2"/>
      <c r="N54" s="2"/>
      <c r="O54" s="2"/>
      <c r="P54" s="2"/>
    </row>
    <row r="57" spans="1:16" x14ac:dyDescent="0.3">
      <c r="L57" s="8"/>
      <c r="M57" s="25"/>
    </row>
    <row r="58" spans="1:16" x14ac:dyDescent="0.3">
      <c r="C58" s="9"/>
      <c r="D58" s="9"/>
      <c r="E58" s="2"/>
      <c r="L58" s="8"/>
      <c r="M58" s="25"/>
      <c r="N58" s="2"/>
      <c r="O58" s="2"/>
      <c r="P58" s="2"/>
    </row>
    <row r="59" spans="1:16" x14ac:dyDescent="0.3">
      <c r="C59" s="9"/>
      <c r="D59" s="9"/>
      <c r="E59" s="2"/>
      <c r="L59" s="27"/>
      <c r="N59" s="2"/>
      <c r="O59" s="2"/>
      <c r="P59" s="2"/>
    </row>
    <row r="60" spans="1:16" x14ac:dyDescent="0.3">
      <c r="C60" s="9"/>
      <c r="D60" s="9"/>
      <c r="E60" s="2"/>
      <c r="L60" s="27"/>
      <c r="N60" s="2"/>
      <c r="O60" s="2"/>
      <c r="P60" s="2"/>
    </row>
  </sheetData>
  <mergeCells count="18">
    <mergeCell ref="O8:O9"/>
    <mergeCell ref="P8:P9"/>
    <mergeCell ref="G8:I8"/>
    <mergeCell ref="J8:J9"/>
    <mergeCell ref="K8:K9"/>
    <mergeCell ref="L8:L9"/>
    <mergeCell ref="M8:M9"/>
    <mergeCell ref="N8:N9"/>
    <mergeCell ref="A8:A9"/>
    <mergeCell ref="B8:B9"/>
    <mergeCell ref="C8:C9"/>
    <mergeCell ref="D8:D9"/>
    <mergeCell ref="E8:E9"/>
    <mergeCell ref="F8:F9"/>
    <mergeCell ref="A1:P1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1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Contratos 2018</vt:lpstr>
      <vt:lpstr>'Contratos 2018'!Área_de_impresión</vt:lpstr>
      <vt:lpstr>'Contratos 2018'!Print_Area</vt:lpstr>
      <vt:lpstr>'Contratos 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dcterms:created xsi:type="dcterms:W3CDTF">2018-07-06T20:52:15Z</dcterms:created>
  <dcterms:modified xsi:type="dcterms:W3CDTF">2018-07-06T20:53:40Z</dcterms:modified>
</cp:coreProperties>
</file>